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ool Funding\website\Tools\"/>
    </mc:Choice>
  </mc:AlternateContent>
  <bookViews>
    <workbookView xWindow="0" yWindow="0" windowWidth="25600" windowHeight="6720" activeTab="1"/>
  </bookViews>
  <sheets>
    <sheet name="2020-21" sheetId="1" r:id="rId1"/>
    <sheet name="2021-22" sheetId="2" r:id="rId2"/>
    <sheet name="Sheet2" sheetId="3" state="hidden" r:id="rId3"/>
  </sheets>
  <definedNames>
    <definedName name="FY21effrates">Sheet2!$A$3:$E$32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E27" i="3" l="1"/>
  <c r="C27" i="3"/>
  <c r="C14" i="2" l="1"/>
  <c r="F14" i="2" s="1"/>
  <c r="G14" i="2" s="1"/>
  <c r="U25" i="3" l="1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L9" i="3" l="1"/>
  <c r="K9" i="3"/>
  <c r="L8" i="3"/>
  <c r="K8" i="3"/>
  <c r="L7" i="3"/>
  <c r="K7" i="3"/>
  <c r="L6" i="3"/>
  <c r="K6" i="3"/>
  <c r="O3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18" i="2" s="1"/>
  <c r="D9" i="3"/>
  <c r="D8" i="3"/>
  <c r="D7" i="3"/>
  <c r="D6" i="3"/>
  <c r="D5" i="3"/>
  <c r="D4" i="3"/>
  <c r="D3" i="3"/>
  <c r="C16" i="2"/>
  <c r="C20" i="2" l="1"/>
  <c r="F20" i="2" s="1"/>
  <c r="D12" i="2"/>
  <c r="A12" i="2"/>
  <c r="A10" i="2"/>
  <c r="C22" i="2" l="1"/>
  <c r="F26" i="2" s="1"/>
  <c r="G20" i="2"/>
  <c r="E24" i="2" s="1"/>
  <c r="C16" i="1"/>
  <c r="F16" i="1" s="1"/>
  <c r="C18" i="1" s="1"/>
  <c r="F22" i="1" s="1"/>
  <c r="D12" i="1"/>
  <c r="A12" i="1"/>
  <c r="A10" i="1"/>
  <c r="A8" i="1"/>
  <c r="C24" i="2" l="1"/>
  <c r="C26" i="2" s="1"/>
  <c r="C29" i="2" s="1"/>
  <c r="C20" i="1"/>
  <c r="C22" i="1" s="1"/>
  <c r="C25" i="1" s="1"/>
</calcChain>
</file>

<file path=xl/sharedStrings.xml><?xml version="1.0" encoding="utf-8"?>
<sst xmlns="http://schemas.openxmlformats.org/spreadsheetml/2006/main" count="96" uniqueCount="76">
  <si>
    <t>Enhanced Student Achievement (ESA) Calculator</t>
  </si>
  <si>
    <t>Open-Enrollment Charter Schools</t>
  </si>
  <si>
    <t>Please complete all pink boxes - otherwise the calculation will not be correct!!!</t>
  </si>
  <si>
    <t>Current-Year or Prior-Year Funded</t>
  </si>
  <si>
    <t>* (please select whether your charter is current year- or prior-year funded)</t>
  </si>
  <si>
    <t>**</t>
  </si>
  <si>
    <t>Last Year's ESA Rate</t>
  </si>
  <si>
    <t>***(this should be the actual rate per student you were funded at last school year)</t>
  </si>
  <si>
    <t>ESA Percentage</t>
  </si>
  <si>
    <t>Preliminary ESA Rate</t>
  </si>
  <si>
    <t>Final Rate as Adjusted for Transition</t>
  </si>
  <si>
    <t>ESA Funding</t>
  </si>
  <si>
    <t>This worksheet does not calculate ESA growth funds or ESA matching, if applicable.</t>
  </si>
  <si>
    <t>**Free &amp; Reduced and Enrollment counts can be found under the "Cycle 2 Child Nutrition" menu at:</t>
  </si>
  <si>
    <t>***ESA funding rates can be found under the "Cycle 2 Child Nutrition" menu at:</t>
  </si>
  <si>
    <t>Arkansas Connections Academy</t>
  </si>
  <si>
    <t>Hope Academy</t>
  </si>
  <si>
    <t>Pine Bluff LH</t>
  </si>
  <si>
    <t>Friendship Aspire Pine Bluff</t>
  </si>
  <si>
    <t>Friendship Aspire Southeast Pine Bluff</t>
  </si>
  <si>
    <t>Imboden Area</t>
  </si>
  <si>
    <t>Kipp Delta</t>
  </si>
  <si>
    <t>Academics Plus</t>
  </si>
  <si>
    <t>LISA Academy</t>
  </si>
  <si>
    <t>Arkansas Virtual Academy</t>
  </si>
  <si>
    <t>e-STEM</t>
  </si>
  <si>
    <t>Premier High</t>
  </si>
  <si>
    <t>Exalt Academy</t>
  </si>
  <si>
    <t>ScholarMade Achievement Place</t>
  </si>
  <si>
    <t>Friendship Little Rock</t>
  </si>
  <si>
    <t>Premier High School of NLR</t>
  </si>
  <si>
    <t>Haas Hall Academy</t>
  </si>
  <si>
    <t>2020-21 effective rate</t>
  </si>
  <si>
    <t>Charter Name</t>
  </si>
  <si>
    <t>***(this is the actual rate per student you were funded at last school year)</t>
  </si>
  <si>
    <t>Converted Last Year's Rate</t>
  </si>
  <si>
    <t>converted rate</t>
  </si>
  <si>
    <t>https://dese.ade.arkansas.gov/Offices/fiscal-and-administrative-services/school-funding/funding-data</t>
  </si>
  <si>
    <t xml:space="preserve">*current/prior year funding status can be found under State  at:  </t>
  </si>
  <si>
    <t>AR Arts Academy</t>
  </si>
  <si>
    <t>NW AR Classical</t>
  </si>
  <si>
    <t>Jacksonville LH</t>
  </si>
  <si>
    <t>Graduate Arkansas (SIA Tech)</t>
  </si>
  <si>
    <t>Capital City LH</t>
  </si>
  <si>
    <t>Future School of FS</t>
  </si>
  <si>
    <t>440700 AR Arts Academy</t>
  </si>
  <si>
    <t>442700 NW AR Classical</t>
  </si>
  <si>
    <t>444700 Arkansas Connections Academy</t>
  </si>
  <si>
    <t>445700 Hope Academy</t>
  </si>
  <si>
    <t>3541700 Pine Bluff LH</t>
  </si>
  <si>
    <t>3544700 Friendship Aspire Pine Bluff</t>
  </si>
  <si>
    <t>3545700 Friendship Aspire Southeast Pine Bluff</t>
  </si>
  <si>
    <t>3840700 Imboden Area</t>
  </si>
  <si>
    <t>5440700 Kipp Delta</t>
  </si>
  <si>
    <t>6040700 Academics Plus</t>
  </si>
  <si>
    <t>6041700 LISA Academy</t>
  </si>
  <si>
    <t>6043700 Arkansas Virtual Academy</t>
  </si>
  <si>
    <t>6047700 e-STEM</t>
  </si>
  <si>
    <t>6050700 Jacksonville LH</t>
  </si>
  <si>
    <t>6052700 Graduate Arkansas (SIA Tech)</t>
  </si>
  <si>
    <t>6053700 Premier High</t>
  </si>
  <si>
    <t>6055700 Exalt Academy</t>
  </si>
  <si>
    <t>6056700 Capital City LH</t>
  </si>
  <si>
    <t>6060700 ScholarMade Achievement Place</t>
  </si>
  <si>
    <t>6061700 Friendship Little Rock</t>
  </si>
  <si>
    <t>6062700 Premier High School of NLR</t>
  </si>
  <si>
    <t>6640700 Future School of FS</t>
  </si>
  <si>
    <t>7240700 Haas Hall Academy</t>
  </si>
  <si>
    <t>2020-21 F&amp;R percentage</t>
  </si>
  <si>
    <t>Current Year</t>
  </si>
  <si>
    <t>Last Year's F&amp;R Percentage</t>
  </si>
  <si>
    <t>Prior Year</t>
  </si>
  <si>
    <t>(select charter school from dropdown)</t>
  </si>
  <si>
    <t>2021-22</t>
  </si>
  <si>
    <t>2021-22 effective rate</t>
  </si>
  <si>
    <t>Oct 1 2020 F&amp;R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</si>
</sst>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0070C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6" fillId="0" borderId="0" xfId="0" applyFont="1" applyProtection="1"/>
    <xf numFmtId="0" fontId="0" fillId="0" borderId="0" xfId="0" applyProtection="1"/>
    <xf numFmtId="43" fontId="0" fillId="0" borderId="0" xfId="1" applyFont="1" applyProtection="1"/>
    <xf numFmtId="164" fontId="0" fillId="2" borderId="1" xfId="1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0" fontId="3" fillId="0" borderId="0" xfId="0" applyFont="1" applyProtection="1">
      <protection locked="0"/>
    </xf>
    <xf numFmtId="9" fontId="0" fillId="0" borderId="0" xfId="2" applyFont="1" applyFill="1" applyBorder="1" applyProtection="1"/>
    <xf numFmtId="43" fontId="5" fillId="0" borderId="0" xfId="1" applyFont="1" applyProtection="1"/>
    <xf numFmtId="0" fontId="3" fillId="0" borderId="0" xfId="0" applyFont="1" applyProtection="1"/>
    <xf numFmtId="43" fontId="0" fillId="0" borderId="0" xfId="1" applyFont="1" applyBorder="1" applyProtection="1"/>
    <xf numFmtId="43" fontId="0" fillId="0" borderId="0" xfId="1" applyFont="1" applyFill="1" applyBorder="1" applyProtection="1"/>
    <xf numFmtId="43" fontId="2" fillId="3" borderId="0" xfId="1" applyFont="1" applyFill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43" fontId="0" fillId="4" borderId="0" xfId="1" applyFont="1" applyFill="1" applyProtection="1"/>
    <xf numFmtId="0" fontId="7" fillId="0" borderId="0" xfId="3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9" fontId="0" fillId="0" borderId="0" xfId="2" applyFont="1"/>
    <xf numFmtId="43" fontId="0" fillId="2" borderId="1" xfId="1" applyFont="1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43" fontId="2" fillId="0" borderId="0" xfId="1" applyFont="1" applyAlignment="1" applyProtection="1">
      <alignment horizontal="right"/>
      <protection locked="0"/>
    </xf>
    <xf numFmtId="9" fontId="0" fillId="0" borderId="0" xfId="0" applyNumberFormat="1"/>
    <xf numFmtId="43" fontId="9" fillId="0" borderId="0" xfId="1" applyFont="1" applyProtection="1"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Offices/fiscal-and-administrative-services/school-funding/funding-data" TargetMode="External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se.ade.arkansas.gov/Offices/fiscal-and-administrative-services/school-funding/funding-data" TargetMode="External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6" sqref="C6"/>
    </sheetView>
  </sheetViews>
  <sheetFormatPr defaultColWidth="8.69140625" defaultRowHeight="15.5" x14ac:dyDescent="0.35"/>
  <cols>
    <col min="1" max="1" width="12.23046875" style="2" bestFit="1" customWidth="1"/>
    <col min="2" max="2" width="19" style="2" customWidth="1"/>
    <col min="3" max="3" width="23.921875" style="3" customWidth="1"/>
    <col min="4" max="4" width="10.07421875" style="3" customWidth="1"/>
    <col min="5" max="5" width="17.23046875" style="2" customWidth="1"/>
    <col min="6" max="16384" width="8.69140625" style="2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/>
    </row>
    <row r="4" spans="1:8" x14ac:dyDescent="0.35">
      <c r="A4" s="4" t="s">
        <v>2</v>
      </c>
    </row>
    <row r="5" spans="1:8" x14ac:dyDescent="0.35">
      <c r="A5" s="1"/>
    </row>
    <row r="6" spans="1:8" x14ac:dyDescent="0.35">
      <c r="A6" s="5" t="s">
        <v>3</v>
      </c>
      <c r="C6" s="34"/>
      <c r="D6" s="6" t="s">
        <v>4</v>
      </c>
      <c r="H6" s="3"/>
    </row>
    <row r="7" spans="1:8" x14ac:dyDescent="0.35">
      <c r="A7" s="1"/>
    </row>
    <row r="8" spans="1:8" s="8" customFormat="1" x14ac:dyDescent="0.35">
      <c r="A8" s="7" t="str">
        <f>IF(C6="Current Year","Note - Certified Cycle 2 Data is Not Available Until Mid-Year"," ")</f>
        <v xml:space="preserve"> </v>
      </c>
      <c r="C8" s="9"/>
      <c r="D8" s="9"/>
    </row>
    <row r="9" spans="1:8" x14ac:dyDescent="0.35">
      <c r="A9" s="1"/>
    </row>
    <row r="10" spans="1:8" x14ac:dyDescent="0.35">
      <c r="A10" s="2" t="str">
        <f>IF(C6="Prior Year","Prior Year F&amp;R Student Count","Current Year F&amp;R Student Count")</f>
        <v>Current Year F&amp;R Student Count</v>
      </c>
      <c r="C10" s="10"/>
      <c r="D10" s="11" t="s">
        <v>5</v>
      </c>
    </row>
    <row r="12" spans="1:8" x14ac:dyDescent="0.35">
      <c r="A12" s="2" t="str">
        <f>IF(C6="Prior Year","Prior Year Enrollment Count","Current Year Enrollment Count")</f>
        <v>Current Year Enrollment Count</v>
      </c>
      <c r="C12" s="10"/>
      <c r="D12" s="6" t="str">
        <f>IF(C6="Current Year","** October 1 of current school year","** October 1 of prior school year")</f>
        <v>** October 1 of prior school year</v>
      </c>
    </row>
    <row r="13" spans="1:8" x14ac:dyDescent="0.35">
      <c r="C13" s="12"/>
    </row>
    <row r="14" spans="1:8" x14ac:dyDescent="0.35">
      <c r="A14" s="2" t="s">
        <v>6</v>
      </c>
      <c r="C14" s="13"/>
      <c r="D14" s="6" t="s">
        <v>7</v>
      </c>
      <c r="F14" s="14"/>
    </row>
    <row r="15" spans="1:8" x14ac:dyDescent="0.35">
      <c r="C15" s="12"/>
    </row>
    <row r="16" spans="1:8" s="8" customFormat="1" x14ac:dyDescent="0.35">
      <c r="A16" s="8" t="s">
        <v>8</v>
      </c>
      <c r="C16" s="15">
        <f>IFERROR(ROUND(ROUND((C10/C12),3),2),0)</f>
        <v>0</v>
      </c>
      <c r="D16" s="16"/>
      <c r="F16" s="17" t="str">
        <f>IF(C16&lt;0.6945,"Level 1",IF(C16&lt;0.8945,"Level 2","Level 3"))</f>
        <v>Level 1</v>
      </c>
    </row>
    <row r="17" spans="1:7" s="8" customFormat="1" x14ac:dyDescent="0.35">
      <c r="C17" s="18"/>
      <c r="D17" s="9"/>
      <c r="F17" s="17"/>
    </row>
    <row r="18" spans="1:7" s="8" customFormat="1" x14ac:dyDescent="0.35">
      <c r="A18" s="8" t="s">
        <v>9</v>
      </c>
      <c r="C18" s="19">
        <f>IF(F16="Level 1",526,IF(F16="Level 2",1051,IF(F16="Level 3",1576)))</f>
        <v>526</v>
      </c>
      <c r="D18" s="9"/>
      <c r="F18" s="17"/>
    </row>
    <row r="19" spans="1:7" s="8" customFormat="1" x14ac:dyDescent="0.35">
      <c r="C19" s="9"/>
      <c r="D19" s="9"/>
      <c r="F19" s="17"/>
    </row>
    <row r="20" spans="1:7" s="8" customFormat="1" x14ac:dyDescent="0.35">
      <c r="C20" s="20" t="str">
        <f>IF(AND(C18-C14&lt;&gt;0,C14&gt;0),"Transition"," ")</f>
        <v xml:space="preserve"> </v>
      </c>
      <c r="D20" s="9"/>
      <c r="F20" s="17"/>
    </row>
    <row r="21" spans="1:7" s="8" customFormat="1" x14ac:dyDescent="0.35">
      <c r="C21" s="9"/>
      <c r="D21" s="9"/>
      <c r="F21" s="17"/>
    </row>
    <row r="22" spans="1:7" s="8" customFormat="1" x14ac:dyDescent="0.35">
      <c r="A22" s="8" t="s">
        <v>10</v>
      </c>
      <c r="C22" s="19">
        <f>IF(C20="Transition",C14+F22,C18)</f>
        <v>526</v>
      </c>
      <c r="D22" s="9"/>
      <c r="F22" s="17">
        <f>IF(C14&gt;C18,-175,175)</f>
        <v>175</v>
      </c>
    </row>
    <row r="23" spans="1:7" s="8" customFormat="1" x14ac:dyDescent="0.35">
      <c r="C23" s="9"/>
      <c r="D23" s="9"/>
      <c r="F23" s="17"/>
    </row>
    <row r="24" spans="1:7" s="8" customFormat="1" x14ac:dyDescent="0.35">
      <c r="A24" s="21"/>
      <c r="B24" s="22"/>
      <c r="C24" s="18"/>
      <c r="D24" s="18"/>
      <c r="E24" s="22"/>
      <c r="F24" s="23"/>
      <c r="G24" s="22"/>
    </row>
    <row r="25" spans="1:7" s="8" customFormat="1" x14ac:dyDescent="0.35">
      <c r="A25" s="8" t="s">
        <v>11</v>
      </c>
      <c r="C25" s="24">
        <f>IF(AND(C10&gt;0,C12&gt;0),C22*C10,0)</f>
        <v>0</v>
      </c>
      <c r="D25" s="9"/>
    </row>
    <row r="27" spans="1:7" x14ac:dyDescent="0.35">
      <c r="A27" s="11" t="s">
        <v>12</v>
      </c>
    </row>
    <row r="29" spans="1:7" x14ac:dyDescent="0.35">
      <c r="A29" s="2" t="s">
        <v>38</v>
      </c>
    </row>
    <row r="30" spans="1:7" x14ac:dyDescent="0.35">
      <c r="A30" s="25" t="s">
        <v>37</v>
      </c>
    </row>
    <row r="32" spans="1:7" x14ac:dyDescent="0.35">
      <c r="A32" s="2" t="s">
        <v>13</v>
      </c>
    </row>
    <row r="33" spans="1:1" x14ac:dyDescent="0.35">
      <c r="A33" s="25" t="s">
        <v>37</v>
      </c>
    </row>
    <row r="35" spans="1:1" x14ac:dyDescent="0.35">
      <c r="A35" s="2" t="s">
        <v>14</v>
      </c>
    </row>
    <row r="36" spans="1:1" x14ac:dyDescent="0.35">
      <c r="A36" s="25" t="s">
        <v>37</v>
      </c>
    </row>
  </sheetData>
  <sheetProtection selectLockedCells="1"/>
  <hyperlinks>
    <hyperlink ref="A36" r:id="rId1"/>
    <hyperlink ref="A33" r:id="rId2"/>
    <hyperlink ref="A30" r:id="rId3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ERROR" error="SELECT LEA NUMBER FROM DROP DOWN LIST">
          <x14:formula1>
            <xm:f>Sheet2!$AA$2:$AA$4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6" sqref="C6"/>
    </sheetView>
  </sheetViews>
  <sheetFormatPr defaultColWidth="8.69140625" defaultRowHeight="15.5" x14ac:dyDescent="0.35"/>
  <cols>
    <col min="1" max="1" width="12.23046875" style="2" bestFit="1" customWidth="1"/>
    <col min="2" max="2" width="19" style="2" customWidth="1"/>
    <col min="3" max="3" width="23.921875" style="3" customWidth="1"/>
    <col min="4" max="4" width="10.07421875" style="3" customWidth="1"/>
    <col min="5" max="5" width="52.3828125" style="2" customWidth="1"/>
    <col min="6" max="16384" width="8.69140625" style="2"/>
  </cols>
  <sheetData>
    <row r="1" spans="1:8" x14ac:dyDescent="0.35">
      <c r="A1" s="1" t="s">
        <v>0</v>
      </c>
    </row>
    <row r="2" spans="1:8" x14ac:dyDescent="0.35">
      <c r="A2" s="1" t="s">
        <v>1</v>
      </c>
      <c r="C2" s="37" t="s">
        <v>73</v>
      </c>
    </row>
    <row r="3" spans="1:8" x14ac:dyDescent="0.35">
      <c r="A3" s="1"/>
    </row>
    <row r="4" spans="1:8" x14ac:dyDescent="0.35">
      <c r="A4" s="4" t="s">
        <v>2</v>
      </c>
    </row>
    <row r="5" spans="1:8" x14ac:dyDescent="0.35">
      <c r="A5" s="1"/>
    </row>
    <row r="6" spans="1:8" x14ac:dyDescent="0.35">
      <c r="A6" s="5" t="s">
        <v>3</v>
      </c>
      <c r="C6" s="34"/>
      <c r="D6" s="6" t="s">
        <v>4</v>
      </c>
      <c r="H6" s="3"/>
    </row>
    <row r="7" spans="1:8" x14ac:dyDescent="0.35">
      <c r="A7" s="1"/>
    </row>
    <row r="8" spans="1:8" s="8" customFormat="1" x14ac:dyDescent="0.35">
      <c r="A8" s="5" t="s">
        <v>33</v>
      </c>
      <c r="C8" s="33"/>
      <c r="D8" s="16" t="s">
        <v>72</v>
      </c>
    </row>
    <row r="9" spans="1:8" x14ac:dyDescent="0.35">
      <c r="A9" s="1"/>
    </row>
    <row r="10" spans="1:8" x14ac:dyDescent="0.35">
      <c r="A10" s="2" t="str">
        <f>IF(C6="Prior Year","Prior Year F&amp;R Student Count","Current Year F&amp;R Student Count")</f>
        <v>Current Year F&amp;R Student Count</v>
      </c>
      <c r="C10" s="10"/>
      <c r="D10" s="11" t="s">
        <v>5</v>
      </c>
    </row>
    <row r="12" spans="1:8" x14ac:dyDescent="0.35">
      <c r="A12" s="2" t="str">
        <f>IF(C6="Prior Year","Prior Year Enrollment Count","Current Year Enrollment Count")</f>
        <v>Current Year Enrollment Count</v>
      </c>
      <c r="C12" s="10"/>
      <c r="D12" s="6" t="str">
        <f>IF(C6="Current Year","** October 1 of current school year","** October 1 of prior school year")</f>
        <v>** October 1 of prior school year</v>
      </c>
    </row>
    <row r="13" spans="1:8" x14ac:dyDescent="0.35">
      <c r="C13" s="12"/>
      <c r="D13" s="39" t="str">
        <f>IF(C6="Current Year","Note - Certified Cycle 2 Data is Not Available Until Mid-Year"," ")</f>
        <v xml:space="preserve"> </v>
      </c>
    </row>
    <row r="14" spans="1:8" x14ac:dyDescent="0.35">
      <c r="A14" s="2" t="s">
        <v>70</v>
      </c>
      <c r="C14" s="15" t="e">
        <f>VLOOKUP(C8,FY21effrates,5,FALSE)</f>
        <v>#N/A</v>
      </c>
      <c r="F14" s="17" t="e">
        <f>IF(C14&lt;0.6945,"Level 1",IF(C14&lt;0.8945,"Level 2","Level 3"))</f>
        <v>#N/A</v>
      </c>
      <c r="G14" s="17" t="e">
        <f>RIGHT(F14,1)</f>
        <v>#N/A</v>
      </c>
    </row>
    <row r="15" spans="1:8" x14ac:dyDescent="0.35">
      <c r="C15" s="12"/>
    </row>
    <row r="16" spans="1:8" x14ac:dyDescent="0.35">
      <c r="A16" s="2" t="s">
        <v>6</v>
      </c>
      <c r="C16" s="19" t="e">
        <f>VLOOKUP(C8,FY21effrates,3,FALSE)</f>
        <v>#N/A</v>
      </c>
      <c r="D16" s="6" t="s">
        <v>34</v>
      </c>
      <c r="F16" s="14"/>
    </row>
    <row r="17" spans="1:7" x14ac:dyDescent="0.35">
      <c r="C17" s="12"/>
      <c r="D17" s="6"/>
      <c r="F17" s="14"/>
    </row>
    <row r="18" spans="1:7" x14ac:dyDescent="0.35">
      <c r="A18" s="2" t="s">
        <v>35</v>
      </c>
      <c r="C18" s="19" t="e">
        <f>VLOOKUP(C8,FY21effrates,4,FALSE)</f>
        <v>#N/A</v>
      </c>
      <c r="D18" s="6"/>
      <c r="F18" s="14"/>
    </row>
    <row r="19" spans="1:7" x14ac:dyDescent="0.35">
      <c r="C19" s="12"/>
    </row>
    <row r="20" spans="1:7" s="8" customFormat="1" x14ac:dyDescent="0.35">
      <c r="A20" s="8" t="s">
        <v>8</v>
      </c>
      <c r="C20" s="15">
        <f>IFERROR(ROUND(ROUND((C10/C12),3),2),0)</f>
        <v>0</v>
      </c>
      <c r="D20" s="16"/>
      <c r="F20" s="17" t="str">
        <f>IF(C20&lt;0.6945,"Level 1",IF(C20&lt;0.8945,"Level 2","Level 3"))</f>
        <v>Level 1</v>
      </c>
      <c r="G20" s="17" t="str">
        <f>RIGHT(F20,1)</f>
        <v>1</v>
      </c>
    </row>
    <row r="21" spans="1:7" s="8" customFormat="1" x14ac:dyDescent="0.35">
      <c r="C21" s="18"/>
      <c r="D21" s="9"/>
      <c r="F21" s="17"/>
    </row>
    <row r="22" spans="1:7" s="8" customFormat="1" x14ac:dyDescent="0.35">
      <c r="A22" s="8" t="s">
        <v>9</v>
      </c>
      <c r="C22" s="19">
        <f>IF(F20="Level 1",532,IF(F20="Level 2",1063,IF(F20="Level 3",1594)))</f>
        <v>532</v>
      </c>
      <c r="D22" s="9"/>
      <c r="F22" s="17"/>
    </row>
    <row r="23" spans="1:7" s="8" customFormat="1" x14ac:dyDescent="0.35">
      <c r="C23" s="9"/>
      <c r="D23" s="9"/>
      <c r="F23" s="17"/>
    </row>
    <row r="24" spans="1:7" s="8" customFormat="1" ht="49" customHeight="1" x14ac:dyDescent="0.35">
      <c r="C24" s="20" t="e">
        <f>IF(AND(C22-C18&lt;&gt;0,C18&gt;0),"Transition"," ")</f>
        <v>#N/A</v>
      </c>
      <c r="D24" s="9"/>
      <c r="E24" s="35" t="e">
        <f>+IF(OR(G20-G14=2,G14-G20=2),"district is transitioning between more than one level so this tool may not be accurate - please check your funding notification"," ")</f>
        <v>#N/A</v>
      </c>
      <c r="F24" s="17"/>
    </row>
    <row r="25" spans="1:7" s="8" customFormat="1" x14ac:dyDescent="0.35">
      <c r="C25" s="9"/>
      <c r="D25" s="9"/>
      <c r="F25" s="17"/>
    </row>
    <row r="26" spans="1:7" s="8" customFormat="1" x14ac:dyDescent="0.35">
      <c r="A26" s="8" t="s">
        <v>10</v>
      </c>
      <c r="C26" s="19" t="e">
        <f>IF(C24="Transition",C18+F26,C22)</f>
        <v>#N/A</v>
      </c>
      <c r="D26" s="9"/>
      <c r="F26" s="17" t="e">
        <f>IF(C16&gt;C22,-177,177)</f>
        <v>#N/A</v>
      </c>
    </row>
    <row r="27" spans="1:7" s="8" customFormat="1" x14ac:dyDescent="0.35">
      <c r="C27" s="9"/>
      <c r="D27" s="9"/>
      <c r="F27" s="17"/>
    </row>
    <row r="28" spans="1:7" s="8" customFormat="1" x14ac:dyDescent="0.35">
      <c r="A28" s="21"/>
      <c r="B28" s="22"/>
      <c r="C28" s="18"/>
      <c r="D28" s="18"/>
      <c r="E28" s="22"/>
      <c r="F28" s="23"/>
      <c r="G28" s="22"/>
    </row>
    <row r="29" spans="1:7" s="8" customFormat="1" x14ac:dyDescent="0.35">
      <c r="A29" s="8" t="s">
        <v>11</v>
      </c>
      <c r="C29" s="24">
        <f>IF(AND(C10&gt;0,C12&gt;0),C26*C10,0)</f>
        <v>0</v>
      </c>
      <c r="D29" s="9"/>
    </row>
    <row r="31" spans="1:7" x14ac:dyDescent="0.35">
      <c r="A31" s="11" t="s">
        <v>12</v>
      </c>
    </row>
    <row r="33" spans="1:1" x14ac:dyDescent="0.35">
      <c r="A33" s="2" t="s">
        <v>38</v>
      </c>
    </row>
    <row r="34" spans="1:1" x14ac:dyDescent="0.35">
      <c r="A34" s="25" t="s">
        <v>37</v>
      </c>
    </row>
    <row r="36" spans="1:1" x14ac:dyDescent="0.35">
      <c r="A36" s="2" t="s">
        <v>13</v>
      </c>
    </row>
    <row r="37" spans="1:1" x14ac:dyDescent="0.35">
      <c r="A37" s="25" t="s">
        <v>37</v>
      </c>
    </row>
    <row r="39" spans="1:1" x14ac:dyDescent="0.35">
      <c r="A39" s="2" t="s">
        <v>14</v>
      </c>
    </row>
    <row r="40" spans="1:1" x14ac:dyDescent="0.35">
      <c r="A40" s="25" t="s">
        <v>37</v>
      </c>
    </row>
  </sheetData>
  <sheetProtection selectLockedCells="1"/>
  <conditionalFormatting sqref="E24">
    <cfRule type="containsText" dxfId="0" priority="1" operator="containsText" text="transitioning">
      <formula>NOT(ISERROR(SEARCH("transitioning",E24)))</formula>
    </cfRule>
  </conditionalFormatting>
  <hyperlinks>
    <hyperlink ref="A40" r:id="rId1"/>
    <hyperlink ref="A37" r:id="rId2"/>
    <hyperlink ref="A34" r:id="rId3"/>
  </hyperlinks>
  <pageMargins left="0.7" right="0.7" top="0.75" bottom="0.75" header="0.3" footer="0.3"/>
  <pageSetup orientation="portrait" r:id="rId4"/>
  <ignoredErrors>
    <ignoredError sqref="E24 F26 F14:G14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Title="ERROR" error="SELECT LEA NUMBER FROM DROP DOWN LIST">
          <x14:formula1>
            <xm:f>Sheet2!$AA$2:$AA$4</xm:f>
          </x14:formula1>
          <xm:sqref>C6</xm:sqref>
        </x14:dataValidation>
        <x14:dataValidation type="list" allowBlank="1" showInputMessage="1" showErrorMessage="1">
          <x14:formula1>
            <xm:f>Sheet2!$A$2:$A$25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7"/>
  <sheetViews>
    <sheetView workbookViewId="0">
      <selection activeCell="G15" sqref="G15"/>
    </sheetView>
  </sheetViews>
  <sheetFormatPr defaultRowHeight="15" customHeight="1" x14ac:dyDescent="0.35"/>
  <cols>
    <col min="1" max="1" width="38.4609375" customWidth="1"/>
  </cols>
  <sheetData>
    <row r="2" spans="1:27" ht="62" x14ac:dyDescent="0.35">
      <c r="C2" s="36" t="s">
        <v>32</v>
      </c>
      <c r="D2" s="36" t="s">
        <v>36</v>
      </c>
      <c r="E2" s="36" t="s">
        <v>68</v>
      </c>
      <c r="F2" s="36" t="s">
        <v>74</v>
      </c>
      <c r="G2" s="36" t="s">
        <v>75</v>
      </c>
    </row>
    <row r="3" spans="1:27" ht="15" customHeight="1" x14ac:dyDescent="0.35">
      <c r="A3" s="29" t="s">
        <v>45</v>
      </c>
      <c r="B3" s="28">
        <v>6040700</v>
      </c>
      <c r="C3">
        <v>526</v>
      </c>
      <c r="D3">
        <f>IF(C3=526,532,IF(C3=1051,1063,IF(C3=1576,1594,(IF(C3=701,709,IF(C3=876,886,IF(C3=1226,1240,IF(C3=1401,1417,0))))))))</f>
        <v>532</v>
      </c>
      <c r="E3" s="32">
        <v>0.28000000000000003</v>
      </c>
      <c r="G3" s="38">
        <v>0.19</v>
      </c>
      <c r="K3">
        <v>526</v>
      </c>
      <c r="L3">
        <v>532</v>
      </c>
      <c r="O3">
        <f>531/3</f>
        <v>177</v>
      </c>
      <c r="Q3">
        <v>440700</v>
      </c>
      <c r="R3" t="s">
        <v>39</v>
      </c>
      <c r="U3" t="str">
        <f>Q3&amp;" "&amp;R3</f>
        <v>440700 AR Arts Academy</v>
      </c>
      <c r="AA3" t="s">
        <v>69</v>
      </c>
    </row>
    <row r="4" spans="1:27" ht="15" customHeight="1" x14ac:dyDescent="0.35">
      <c r="A4" s="27" t="s">
        <v>46</v>
      </c>
      <c r="B4" s="26">
        <v>440700</v>
      </c>
      <c r="C4">
        <v>526</v>
      </c>
      <c r="D4">
        <f t="shared" ref="D4:D25" si="0">IF(C4=526,532,IF(C4=1051,1063,IF(C4=1576,1594,(IF(C4=701,709,IF(C4=876,886,IF(C4=1226,1240,IF(C4=1401,1417,0))))))))</f>
        <v>532</v>
      </c>
      <c r="E4" s="32">
        <v>0.12</v>
      </c>
      <c r="G4" s="38">
        <v>0.09</v>
      </c>
      <c r="K4">
        <v>1051</v>
      </c>
      <c r="L4">
        <v>1063</v>
      </c>
      <c r="Q4">
        <v>442700</v>
      </c>
      <c r="R4" t="s">
        <v>40</v>
      </c>
      <c r="U4" t="str">
        <f t="shared" ref="U4:U25" si="1">Q4&amp;" "&amp;R4</f>
        <v>442700 NW AR Classical</v>
      </c>
      <c r="AA4" t="s">
        <v>71</v>
      </c>
    </row>
    <row r="5" spans="1:27" ht="15" customHeight="1" x14ac:dyDescent="0.35">
      <c r="A5" s="27" t="s">
        <v>47</v>
      </c>
      <c r="B5" s="26">
        <v>444700</v>
      </c>
      <c r="C5">
        <v>0</v>
      </c>
      <c r="D5">
        <f t="shared" si="0"/>
        <v>0</v>
      </c>
      <c r="E5" s="32">
        <v>0</v>
      </c>
      <c r="G5" s="38">
        <v>0</v>
      </c>
      <c r="K5">
        <v>1576</v>
      </c>
      <c r="L5">
        <v>1594</v>
      </c>
      <c r="Q5">
        <v>444700</v>
      </c>
      <c r="R5" t="s">
        <v>15</v>
      </c>
      <c r="U5" t="str">
        <f t="shared" si="1"/>
        <v>444700 Arkansas Connections Academy</v>
      </c>
    </row>
    <row r="6" spans="1:27" ht="15" customHeight="1" x14ac:dyDescent="0.35">
      <c r="A6" s="31" t="s">
        <v>48</v>
      </c>
      <c r="B6" s="28">
        <v>6043700</v>
      </c>
      <c r="C6">
        <v>0</v>
      </c>
      <c r="D6">
        <f t="shared" si="0"/>
        <v>0</v>
      </c>
      <c r="E6" s="32">
        <v>0</v>
      </c>
      <c r="G6" s="38">
        <v>0</v>
      </c>
      <c r="K6">
        <f>526+175</f>
        <v>701</v>
      </c>
      <c r="L6">
        <f>L3+177</f>
        <v>709</v>
      </c>
      <c r="Q6">
        <v>445700</v>
      </c>
      <c r="R6" t="s">
        <v>16</v>
      </c>
      <c r="U6" t="str">
        <f t="shared" si="1"/>
        <v>445700 Hope Academy</v>
      </c>
    </row>
    <row r="7" spans="1:27" ht="15" customHeight="1" x14ac:dyDescent="0.35">
      <c r="A7" s="27" t="s">
        <v>49</v>
      </c>
      <c r="B7" s="26">
        <v>6056700</v>
      </c>
      <c r="C7">
        <v>1576</v>
      </c>
      <c r="D7">
        <f t="shared" si="0"/>
        <v>1594</v>
      </c>
      <c r="E7" s="32">
        <v>0.91</v>
      </c>
      <c r="G7" s="38">
        <v>0.91</v>
      </c>
      <c r="K7">
        <f>K3+175+175</f>
        <v>876</v>
      </c>
      <c r="L7">
        <f>L3+177+177</f>
        <v>886</v>
      </c>
      <c r="Q7">
        <v>3541700</v>
      </c>
      <c r="R7" t="s">
        <v>17</v>
      </c>
      <c r="U7" t="str">
        <f t="shared" si="1"/>
        <v>3541700 Pine Bluff LH</v>
      </c>
    </row>
    <row r="8" spans="1:27" ht="15" customHeight="1" x14ac:dyDescent="0.35">
      <c r="A8" s="29" t="s">
        <v>50</v>
      </c>
      <c r="B8" s="28">
        <v>6047700</v>
      </c>
      <c r="C8">
        <v>1576</v>
      </c>
      <c r="D8">
        <f t="shared" si="0"/>
        <v>1594</v>
      </c>
      <c r="E8" s="32">
        <v>0.93</v>
      </c>
      <c r="G8" s="38">
        <v>0.93</v>
      </c>
      <c r="K8">
        <f>K4+175</f>
        <v>1226</v>
      </c>
      <c r="L8">
        <f>L4+177</f>
        <v>1240</v>
      </c>
      <c r="Q8">
        <v>3544700</v>
      </c>
      <c r="R8" t="s">
        <v>18</v>
      </c>
      <c r="U8" t="str">
        <f t="shared" si="1"/>
        <v>3544700 Friendship Aspire Pine Bluff</v>
      </c>
    </row>
    <row r="9" spans="1:27" ht="15" customHeight="1" x14ac:dyDescent="0.35">
      <c r="A9" s="29" t="s">
        <v>51</v>
      </c>
      <c r="B9" s="28">
        <v>6055700</v>
      </c>
      <c r="C9">
        <v>1576</v>
      </c>
      <c r="D9">
        <f t="shared" si="0"/>
        <v>1594</v>
      </c>
      <c r="E9" s="32">
        <v>0.93</v>
      </c>
      <c r="G9" s="38">
        <v>0.93</v>
      </c>
      <c r="K9">
        <f>K4+175+175</f>
        <v>1401</v>
      </c>
      <c r="L9">
        <f>L4+177+177</f>
        <v>1417</v>
      </c>
      <c r="Q9">
        <v>3545700</v>
      </c>
      <c r="R9" t="s">
        <v>19</v>
      </c>
      <c r="U9" t="str">
        <f t="shared" si="1"/>
        <v>3545700 Friendship Aspire Southeast Pine Bluff</v>
      </c>
    </row>
    <row r="10" spans="1:27" ht="15" customHeight="1" x14ac:dyDescent="0.35">
      <c r="A10" s="30" t="s">
        <v>52</v>
      </c>
      <c r="B10" s="26">
        <v>3544700</v>
      </c>
      <c r="C10">
        <v>1051</v>
      </c>
      <c r="D10">
        <f t="shared" si="0"/>
        <v>1063</v>
      </c>
      <c r="E10" s="32">
        <v>0.78</v>
      </c>
      <c r="G10" s="38">
        <v>0.75</v>
      </c>
      <c r="Q10">
        <v>3840700</v>
      </c>
      <c r="R10" t="s">
        <v>20</v>
      </c>
      <c r="U10" t="str">
        <f t="shared" si="1"/>
        <v>3840700 Imboden Area</v>
      </c>
    </row>
    <row r="11" spans="1:27" ht="15" customHeight="1" x14ac:dyDescent="0.35">
      <c r="A11" s="31" t="s">
        <v>53</v>
      </c>
      <c r="B11" s="26">
        <v>3545700</v>
      </c>
      <c r="C11">
        <v>1576</v>
      </c>
      <c r="D11">
        <f t="shared" si="0"/>
        <v>1594</v>
      </c>
      <c r="E11" s="32">
        <v>0.9</v>
      </c>
      <c r="G11" s="38">
        <v>0.9</v>
      </c>
      <c r="Q11">
        <v>5440700</v>
      </c>
      <c r="R11" t="s">
        <v>21</v>
      </c>
      <c r="U11" t="str">
        <f t="shared" si="1"/>
        <v>5440700 Kipp Delta</v>
      </c>
    </row>
    <row r="12" spans="1:27" ht="15" customHeight="1" x14ac:dyDescent="0.35">
      <c r="A12" s="27" t="s">
        <v>54</v>
      </c>
      <c r="B12" s="26">
        <v>6061700</v>
      </c>
      <c r="C12">
        <v>526</v>
      </c>
      <c r="D12">
        <f t="shared" si="0"/>
        <v>532</v>
      </c>
      <c r="E12" s="32">
        <v>0.3</v>
      </c>
      <c r="G12" s="38">
        <v>0.3</v>
      </c>
      <c r="Q12">
        <v>6040700</v>
      </c>
      <c r="R12" t="s">
        <v>22</v>
      </c>
      <c r="U12" t="str">
        <f t="shared" si="1"/>
        <v>6040700 Academics Plus</v>
      </c>
    </row>
    <row r="13" spans="1:27" ht="15" customHeight="1" x14ac:dyDescent="0.35">
      <c r="A13" s="27" t="s">
        <v>55</v>
      </c>
      <c r="B13" s="26">
        <v>6640700</v>
      </c>
      <c r="C13">
        <v>526</v>
      </c>
      <c r="D13">
        <f t="shared" si="0"/>
        <v>532</v>
      </c>
      <c r="E13" s="32">
        <v>0.61</v>
      </c>
      <c r="G13" s="38">
        <v>0.61</v>
      </c>
      <c r="Q13">
        <v>6041700</v>
      </c>
      <c r="R13" t="s">
        <v>23</v>
      </c>
      <c r="U13" t="str">
        <f t="shared" si="1"/>
        <v>6041700 LISA Academy</v>
      </c>
    </row>
    <row r="14" spans="1:27" ht="15" customHeight="1" x14ac:dyDescent="0.35">
      <c r="A14" s="29" t="s">
        <v>56</v>
      </c>
      <c r="B14" s="28">
        <v>6052700</v>
      </c>
      <c r="C14">
        <v>0</v>
      </c>
      <c r="D14">
        <f t="shared" si="0"/>
        <v>0</v>
      </c>
      <c r="E14" s="32">
        <v>0</v>
      </c>
      <c r="G14" s="38">
        <v>0</v>
      </c>
      <c r="Q14">
        <v>6043700</v>
      </c>
      <c r="R14" t="s">
        <v>24</v>
      </c>
      <c r="U14" t="str">
        <f t="shared" si="1"/>
        <v>6043700 Arkansas Virtual Academy</v>
      </c>
    </row>
    <row r="15" spans="1:27" ht="15" customHeight="1" x14ac:dyDescent="0.35">
      <c r="A15" s="27" t="s">
        <v>57</v>
      </c>
      <c r="B15" s="26">
        <v>7240700</v>
      </c>
      <c r="C15">
        <v>526</v>
      </c>
      <c r="D15">
        <f t="shared" si="0"/>
        <v>532</v>
      </c>
      <c r="E15" s="32">
        <v>0.53</v>
      </c>
      <c r="G15" s="38">
        <v>0.56000000000000005</v>
      </c>
      <c r="Q15">
        <v>6047700</v>
      </c>
      <c r="R15" t="s">
        <v>25</v>
      </c>
      <c r="U15" t="str">
        <f t="shared" si="1"/>
        <v>6047700 e-STEM</v>
      </c>
    </row>
    <row r="16" spans="1:27" ht="15" customHeight="1" x14ac:dyDescent="0.35">
      <c r="A16" s="27" t="s">
        <v>58</v>
      </c>
      <c r="B16" s="26">
        <v>445700</v>
      </c>
      <c r="C16">
        <v>526</v>
      </c>
      <c r="D16">
        <f t="shared" si="0"/>
        <v>532</v>
      </c>
      <c r="E16" s="32">
        <v>0.67</v>
      </c>
      <c r="G16" s="38">
        <v>0.51</v>
      </c>
      <c r="Q16">
        <v>6050700</v>
      </c>
      <c r="R16" t="s">
        <v>41</v>
      </c>
      <c r="U16" t="str">
        <f t="shared" si="1"/>
        <v>6050700 Jacksonville LH</v>
      </c>
    </row>
    <row r="17" spans="1:21" ht="15" customHeight="1" x14ac:dyDescent="0.35">
      <c r="A17" s="29" t="s">
        <v>59</v>
      </c>
      <c r="B17" s="28">
        <v>3840700</v>
      </c>
      <c r="C17">
        <v>1051</v>
      </c>
      <c r="D17">
        <f t="shared" si="0"/>
        <v>1063</v>
      </c>
      <c r="E17" s="32">
        <v>0.82</v>
      </c>
      <c r="G17" s="38">
        <v>0.81</v>
      </c>
      <c r="Q17">
        <v>6052700</v>
      </c>
      <c r="R17" t="s">
        <v>42</v>
      </c>
      <c r="U17" t="str">
        <f t="shared" si="1"/>
        <v>6052700 Graduate Arkansas (SIA Tech)</v>
      </c>
    </row>
    <row r="18" spans="1:21" ht="15" customHeight="1" x14ac:dyDescent="0.35">
      <c r="A18" s="29" t="s">
        <v>60</v>
      </c>
      <c r="B18" s="28">
        <v>6050700</v>
      </c>
      <c r="C18">
        <v>701</v>
      </c>
      <c r="D18">
        <f t="shared" si="0"/>
        <v>709</v>
      </c>
      <c r="E18" s="32">
        <v>0.82</v>
      </c>
      <c r="G18" s="38">
        <v>0.82</v>
      </c>
      <c r="Q18">
        <v>6053700</v>
      </c>
      <c r="R18" t="s">
        <v>26</v>
      </c>
      <c r="U18" t="str">
        <f t="shared" si="1"/>
        <v>6053700 Premier High</v>
      </c>
    </row>
    <row r="19" spans="1:21" ht="15" customHeight="1" x14ac:dyDescent="0.35">
      <c r="A19" s="29" t="s">
        <v>61</v>
      </c>
      <c r="B19" s="28">
        <v>5440700</v>
      </c>
      <c r="C19">
        <v>1576</v>
      </c>
      <c r="D19">
        <f t="shared" si="0"/>
        <v>1594</v>
      </c>
      <c r="E19" s="32">
        <v>0.96</v>
      </c>
      <c r="G19" s="38">
        <v>0.96</v>
      </c>
      <c r="Q19">
        <v>6055700</v>
      </c>
      <c r="R19" t="s">
        <v>27</v>
      </c>
      <c r="U19" t="str">
        <f t="shared" si="1"/>
        <v>6055700 Exalt Academy</v>
      </c>
    </row>
    <row r="20" spans="1:21" ht="15" customHeight="1" x14ac:dyDescent="0.35">
      <c r="A20" s="29" t="s">
        <v>62</v>
      </c>
      <c r="B20" s="28">
        <v>6041700</v>
      </c>
      <c r="C20">
        <v>1051</v>
      </c>
      <c r="D20">
        <f t="shared" si="0"/>
        <v>1063</v>
      </c>
      <c r="E20" s="32">
        <v>0.84</v>
      </c>
      <c r="G20" s="38">
        <v>0.76</v>
      </c>
      <c r="Q20">
        <v>6056700</v>
      </c>
      <c r="R20" t="s">
        <v>43</v>
      </c>
      <c r="U20" t="str">
        <f t="shared" si="1"/>
        <v>6056700 Capital City LH</v>
      </c>
    </row>
    <row r="21" spans="1:21" ht="15" customHeight="1" x14ac:dyDescent="0.35">
      <c r="A21" s="27" t="s">
        <v>63</v>
      </c>
      <c r="B21" s="26">
        <v>442700</v>
      </c>
      <c r="C21">
        <v>1576</v>
      </c>
      <c r="D21">
        <f t="shared" si="0"/>
        <v>1594</v>
      </c>
      <c r="E21" s="32">
        <v>0.93</v>
      </c>
      <c r="G21" s="38">
        <v>0.93</v>
      </c>
      <c r="Q21">
        <v>6060700</v>
      </c>
      <c r="R21" t="s">
        <v>28</v>
      </c>
      <c r="U21" t="str">
        <f t="shared" si="1"/>
        <v>6060700 ScholarMade Achievement Place</v>
      </c>
    </row>
    <row r="22" spans="1:21" ht="15" customHeight="1" x14ac:dyDescent="0.35">
      <c r="A22" s="29" t="s">
        <v>64</v>
      </c>
      <c r="B22" s="28">
        <v>3541700</v>
      </c>
      <c r="C22">
        <v>1576</v>
      </c>
      <c r="D22">
        <f t="shared" si="0"/>
        <v>1594</v>
      </c>
      <c r="E22" s="32">
        <v>0.98</v>
      </c>
      <c r="G22" s="38">
        <v>0.98</v>
      </c>
      <c r="Q22">
        <v>6061700</v>
      </c>
      <c r="R22" t="s">
        <v>29</v>
      </c>
      <c r="U22" t="str">
        <f t="shared" si="1"/>
        <v>6061700 Friendship Little Rock</v>
      </c>
    </row>
    <row r="23" spans="1:21" ht="15" customHeight="1" x14ac:dyDescent="0.35">
      <c r="A23" s="29" t="s">
        <v>65</v>
      </c>
      <c r="B23" s="28">
        <v>6053700</v>
      </c>
      <c r="C23">
        <v>1051</v>
      </c>
      <c r="D23">
        <f t="shared" si="0"/>
        <v>1063</v>
      </c>
      <c r="E23" s="32">
        <v>0.86</v>
      </c>
      <c r="G23" s="38">
        <v>0.86</v>
      </c>
      <c r="Q23">
        <v>6062700</v>
      </c>
      <c r="R23" t="s">
        <v>30</v>
      </c>
      <c r="U23" t="str">
        <f t="shared" si="1"/>
        <v>6062700 Premier High School of NLR</v>
      </c>
    </row>
    <row r="24" spans="1:21" ht="15" customHeight="1" x14ac:dyDescent="0.35">
      <c r="A24" s="27" t="s">
        <v>66</v>
      </c>
      <c r="B24" s="26">
        <v>6062700</v>
      </c>
      <c r="C24">
        <v>701</v>
      </c>
      <c r="D24">
        <f t="shared" si="0"/>
        <v>709</v>
      </c>
      <c r="E24" s="32">
        <v>0.73</v>
      </c>
      <c r="G24" s="38">
        <v>0.73</v>
      </c>
      <c r="Q24">
        <v>6640700</v>
      </c>
      <c r="R24" t="s">
        <v>44</v>
      </c>
      <c r="U24" t="str">
        <f t="shared" si="1"/>
        <v>6640700 Future School of FS</v>
      </c>
    </row>
    <row r="25" spans="1:21" ht="15" customHeight="1" x14ac:dyDescent="0.35">
      <c r="A25" s="30" t="s">
        <v>67</v>
      </c>
      <c r="B25" s="26">
        <v>6060700</v>
      </c>
      <c r="C25">
        <v>526</v>
      </c>
      <c r="D25">
        <f t="shared" si="0"/>
        <v>532</v>
      </c>
      <c r="E25" s="32">
        <v>0.09</v>
      </c>
      <c r="G25" s="38">
        <v>0.09</v>
      </c>
      <c r="Q25">
        <v>7240700</v>
      </c>
      <c r="R25" t="s">
        <v>31</v>
      </c>
      <c r="U25" t="str">
        <f t="shared" si="1"/>
        <v>7240700 Haas Hall Academy</v>
      </c>
    </row>
    <row r="27" spans="1:21" ht="15" customHeight="1" x14ac:dyDescent="0.35">
      <c r="C27">
        <f>SUM(C3:C26)</f>
        <v>20320</v>
      </c>
      <c r="E27">
        <f>SUM(E3:E26)</f>
        <v>13.990000000000002</v>
      </c>
    </row>
  </sheetData>
  <sortState ref="A3:C25">
    <sortCondition ref="A3:A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</vt:lpstr>
      <vt:lpstr>2021-22</vt:lpstr>
      <vt:lpstr>Sheet2</vt:lpstr>
      <vt:lpstr>FY21effrates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2020-09-15T18:04:06Z</dcterms:created>
  <dcterms:modified xsi:type="dcterms:W3CDTF">2021-05-13T17:38:18Z</dcterms:modified>
</cp:coreProperties>
</file>